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liki\zasob\epa\Informacja o działalności Spółki-sesja RM\sesja RM 2024\UWZGL PLAN\"/>
    </mc:Choice>
  </mc:AlternateContent>
  <xr:revisionPtr revIDLastSave="0" documentId="8_{F6C138B5-D9F7-404A-87E5-D4338851FFB3}" xr6:coauthVersionLast="47" xr6:coauthVersionMax="47" xr10:uidLastSave="{00000000-0000-0000-0000-000000000000}"/>
  <bookViews>
    <workbookView xWindow="240" yWindow="720" windowWidth="28560" windowHeight="15480" xr2:uid="{CEC4F511-1786-4866-9385-F3FC613119D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42" i="1"/>
  <c r="J40" i="1"/>
  <c r="I40" i="1"/>
  <c r="K40" i="1" s="1"/>
  <c r="H40" i="1"/>
  <c r="G40" i="1"/>
  <c r="F40" i="1"/>
  <c r="E40" i="1"/>
  <c r="H39" i="1"/>
  <c r="G39" i="1"/>
  <c r="K39" i="1" s="1"/>
  <c r="F39" i="1"/>
  <c r="E39" i="1"/>
  <c r="K38" i="1"/>
  <c r="J38" i="1"/>
  <c r="K37" i="1"/>
  <c r="J37" i="1"/>
  <c r="K36" i="1"/>
  <c r="J36" i="1"/>
  <c r="H36" i="1"/>
  <c r="G36" i="1"/>
  <c r="F36" i="1"/>
  <c r="E36" i="1"/>
  <c r="K35" i="1"/>
  <c r="J35" i="1"/>
  <c r="K34" i="1"/>
  <c r="J34" i="1"/>
  <c r="H34" i="1"/>
  <c r="G34" i="1"/>
  <c r="F34" i="1"/>
  <c r="E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F26" i="1"/>
  <c r="L26" i="1" s="1"/>
  <c r="I24" i="1"/>
  <c r="P24" i="1" s="1"/>
  <c r="H24" i="1"/>
  <c r="G24" i="1"/>
  <c r="N39" i="1" s="1"/>
  <c r="F24" i="1"/>
  <c r="L39" i="1" s="1"/>
  <c r="E24" i="1"/>
  <c r="G23" i="1"/>
  <c r="F23" i="1"/>
  <c r="E23" i="1"/>
  <c r="G22" i="1"/>
  <c r="F22" i="1"/>
  <c r="E22" i="1"/>
  <c r="G21" i="1"/>
  <c r="F21" i="1"/>
  <c r="E21" i="1"/>
  <c r="K20" i="1"/>
  <c r="G20" i="1"/>
  <c r="J20" i="1" s="1"/>
  <c r="F20" i="1"/>
  <c r="E20" i="1"/>
  <c r="Q19" i="1"/>
  <c r="M19" i="1"/>
  <c r="G19" i="1"/>
  <c r="J19" i="1" s="1"/>
  <c r="F19" i="1"/>
  <c r="E19" i="1"/>
  <c r="Q18" i="1"/>
  <c r="G18" i="1"/>
  <c r="F18" i="1"/>
  <c r="E18" i="1"/>
  <c r="K17" i="1"/>
  <c r="J17" i="1"/>
  <c r="H17" i="1"/>
  <c r="H15" i="1" s="1"/>
  <c r="H13" i="1" s="1"/>
  <c r="H41" i="1" s="1"/>
  <c r="H43" i="1" s="1"/>
  <c r="G17" i="1"/>
  <c r="F17" i="1"/>
  <c r="E17" i="1"/>
  <c r="M15" i="1"/>
  <c r="I15" i="1"/>
  <c r="Q21" i="1" s="1"/>
  <c r="F15" i="1"/>
  <c r="E15" i="1"/>
  <c r="E13" i="1" s="1"/>
  <c r="E41" i="1" s="1"/>
  <c r="E43" i="1" s="1"/>
  <c r="I13" i="1"/>
  <c r="I41" i="1" s="1"/>
  <c r="I43" i="1" s="1"/>
  <c r="P12" i="1"/>
  <c r="K12" i="1"/>
  <c r="J12" i="1"/>
  <c r="P11" i="1"/>
  <c r="K11" i="1"/>
  <c r="J11" i="1"/>
  <c r="P9" i="1"/>
  <c r="N9" i="1"/>
  <c r="L9" i="1"/>
  <c r="K9" i="1"/>
  <c r="I9" i="1"/>
  <c r="H9" i="1"/>
  <c r="G9" i="1"/>
  <c r="N11" i="1" s="1"/>
  <c r="F9" i="1"/>
  <c r="J9" i="1" s="1"/>
  <c r="E9" i="1"/>
  <c r="O17" i="1" l="1"/>
  <c r="L23" i="1"/>
  <c r="J21" i="1"/>
  <c r="G15" i="1"/>
  <c r="M20" i="1"/>
  <c r="K21" i="1"/>
  <c r="L28" i="1"/>
  <c r="P29" i="1"/>
  <c r="L32" i="1"/>
  <c r="P33" i="1"/>
  <c r="L34" i="1"/>
  <c r="P35" i="1"/>
  <c r="L36" i="1"/>
  <c r="P37" i="1"/>
  <c r="P39" i="1"/>
  <c r="L12" i="1"/>
  <c r="P15" i="1"/>
  <c r="J18" i="1"/>
  <c r="J22" i="1"/>
  <c r="J23" i="1"/>
  <c r="J26" i="1"/>
  <c r="L27" i="1"/>
  <c r="N28" i="1"/>
  <c r="N32" i="1"/>
  <c r="N34" i="1"/>
  <c r="N36" i="1"/>
  <c r="N12" i="1"/>
  <c r="Q15" i="1"/>
  <c r="M17" i="1"/>
  <c r="K18" i="1"/>
  <c r="M21" i="1"/>
  <c r="K22" i="1"/>
  <c r="K23" i="1"/>
  <c r="N27" i="1"/>
  <c r="P28" i="1"/>
  <c r="L31" i="1"/>
  <c r="P32" i="1"/>
  <c r="P34" i="1"/>
  <c r="P36" i="1"/>
  <c r="Q20" i="1"/>
  <c r="N31" i="1"/>
  <c r="L11" i="1"/>
  <c r="M18" i="1"/>
  <c r="K19" i="1"/>
  <c r="O21" i="1"/>
  <c r="K24" i="1"/>
  <c r="N26" i="1"/>
  <c r="L30" i="1"/>
  <c r="P31" i="1"/>
  <c r="L38" i="1"/>
  <c r="J39" i="1"/>
  <c r="J24" i="1"/>
  <c r="P27" i="1"/>
  <c r="F13" i="1"/>
  <c r="L18" i="1" s="1"/>
  <c r="P13" i="1"/>
  <c r="Q17" i="1"/>
  <c r="P22" i="1"/>
  <c r="P23" i="1"/>
  <c r="L24" i="1"/>
  <c r="P26" i="1"/>
  <c r="N30" i="1"/>
  <c r="N38" i="1"/>
  <c r="N24" i="1"/>
  <c r="L29" i="1"/>
  <c r="P30" i="1"/>
  <c r="L33" i="1"/>
  <c r="L35" i="1"/>
  <c r="L37" i="1"/>
  <c r="P38" i="1"/>
  <c r="N29" i="1"/>
  <c r="N33" i="1"/>
  <c r="N35" i="1"/>
  <c r="N37" i="1"/>
  <c r="L22" i="1" l="1"/>
  <c r="L13" i="1"/>
  <c r="F41" i="1"/>
  <c r="F43" i="1" s="1"/>
  <c r="L21" i="1"/>
  <c r="L17" i="1"/>
  <c r="L20" i="1"/>
  <c r="L15" i="1"/>
  <c r="J15" i="1"/>
  <c r="K15" i="1"/>
  <c r="O20" i="1"/>
  <c r="O18" i="1"/>
  <c r="G13" i="1"/>
  <c r="O19" i="1"/>
  <c r="O15" i="1"/>
  <c r="L19" i="1"/>
  <c r="N17" i="1" l="1"/>
  <c r="N13" i="1"/>
  <c r="G41" i="1"/>
  <c r="K13" i="1"/>
  <c r="N19" i="1"/>
  <c r="N20" i="1"/>
  <c r="J13" i="1"/>
  <c r="N23" i="1"/>
  <c r="N21" i="1"/>
  <c r="N18" i="1"/>
  <c r="N22" i="1"/>
  <c r="N15" i="1"/>
  <c r="K41" i="1" l="1"/>
  <c r="J41" i="1"/>
  <c r="G43" i="1"/>
  <c r="K43" i="1" l="1"/>
  <c r="J43" i="1"/>
</calcChain>
</file>

<file path=xl/sharedStrings.xml><?xml version="1.0" encoding="utf-8"?>
<sst xmlns="http://schemas.openxmlformats.org/spreadsheetml/2006/main" count="69" uniqueCount="58">
  <si>
    <t>Załącznik 1</t>
  </si>
  <si>
    <t>Wykonanie sprzedaży, przychodów, kosztów i wyniku finansowego w PWiK Sp. z o.o. w Olsztynie za 6 miesięcy 2024 roku</t>
  </si>
  <si>
    <t xml:space="preserve">wsk. upływu czasu: </t>
  </si>
  <si>
    <t>lp.</t>
  </si>
  <si>
    <t>wyszczególnienie</t>
  </si>
  <si>
    <t>jedn. 
miary</t>
  </si>
  <si>
    <t>wykonanie za 6 mies.</t>
  </si>
  <si>
    <t>plan 
na 2023 r.</t>
  </si>
  <si>
    <t>plan 
na 2024 r.</t>
  </si>
  <si>
    <r>
      <t xml:space="preserve">indeks dynamiki (%)
</t>
    </r>
    <r>
      <rPr>
        <sz val="8"/>
        <rFont val="Times New Roman"/>
        <family val="1"/>
        <charset val="238"/>
      </rPr>
      <t>[5:4]</t>
    </r>
  </si>
  <si>
    <r>
      <t xml:space="preserve">% wykonania 
planu rocznego
</t>
    </r>
    <r>
      <rPr>
        <sz val="8"/>
        <rFont val="Times New Roman"/>
        <family val="1"/>
        <charset val="238"/>
      </rPr>
      <t>[5:6]</t>
    </r>
  </si>
  <si>
    <t>struktura (%)</t>
  </si>
  <si>
    <t>2022 r.</t>
  </si>
  <si>
    <t>2023 r.</t>
  </si>
  <si>
    <t>2024 r.</t>
  </si>
  <si>
    <t>1.</t>
  </si>
  <si>
    <t>ilościowe wykonanie sprzedaży wod-kan:</t>
  </si>
  <si>
    <r>
      <t>tys. m</t>
    </r>
    <r>
      <rPr>
        <b/>
        <vertAlign val="superscript"/>
        <sz val="11"/>
        <rFont val="Times New Roman"/>
        <family val="1"/>
        <charset val="238"/>
      </rPr>
      <t>3</t>
    </r>
  </si>
  <si>
    <t>z tego:</t>
  </si>
  <si>
    <t>sprzedaż wody</t>
  </si>
  <si>
    <t>ścieki odprowadzone</t>
  </si>
  <si>
    <t>2.</t>
  </si>
  <si>
    <t>przychody ogółem</t>
  </si>
  <si>
    <t>tys. zł</t>
  </si>
  <si>
    <t xml:space="preserve"> - przychody ze sprzedaży</t>
  </si>
  <si>
    <t xml:space="preserve">    z tego:</t>
  </si>
  <si>
    <t xml:space="preserve"> - przychody z działalności</t>
  </si>
  <si>
    <t xml:space="preserve"> - przychody z działalności pomocniczej</t>
  </si>
  <si>
    <t xml:space="preserve"> - sprzedaż towarów i materiałów</t>
  </si>
  <si>
    <t xml:space="preserve"> - usługi mieszkaniowe</t>
  </si>
  <si>
    <t xml:space="preserve"> - deszczówka</t>
  </si>
  <si>
    <t xml:space="preserve"> - pozostałe przychody operacyjne</t>
  </si>
  <si>
    <t xml:space="preserve"> - przychody finansowe</t>
  </si>
  <si>
    <t>3.</t>
  </si>
  <si>
    <t>koszty rodzajowe</t>
  </si>
  <si>
    <t xml:space="preserve"> - amortyzacja</t>
  </si>
  <si>
    <t xml:space="preserve"> - zużycie materiałów</t>
  </si>
  <si>
    <t xml:space="preserve"> - paliwo</t>
  </si>
  <si>
    <t xml:space="preserve"> - energia</t>
  </si>
  <si>
    <t xml:space="preserve"> - pozostałe koszty materiałowe</t>
  </si>
  <si>
    <t xml:space="preserve"> - usługi transportowe</t>
  </si>
  <si>
    <t xml:space="preserve"> - usługi remontowe</t>
  </si>
  <si>
    <t xml:space="preserve"> - pozostałe usługi obce</t>
  </si>
  <si>
    <t xml:space="preserve"> - podatki i opłaty</t>
  </si>
  <si>
    <t xml:space="preserve"> - wynagrodzenia</t>
  </si>
  <si>
    <t xml:space="preserve"> - narzuty ZUS</t>
  </si>
  <si>
    <t xml:space="preserve"> - ZFŚS</t>
  </si>
  <si>
    <t xml:space="preserve"> - pozost. świadcz. na rzecz pracowników</t>
  </si>
  <si>
    <t xml:space="preserve"> - pozostałe koszty</t>
  </si>
  <si>
    <t>4.</t>
  </si>
  <si>
    <t>koszty ogółem</t>
  </si>
  <si>
    <t>5.</t>
  </si>
  <si>
    <t>wynik brutto</t>
  </si>
  <si>
    <t>6.</t>
  </si>
  <si>
    <t>obowiazkowe obciążenia wyniku</t>
  </si>
  <si>
    <t>7.</t>
  </si>
  <si>
    <t>wynik netto</t>
  </si>
  <si>
    <t>Źródło: opracowanie własne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</si>
</sst>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.00\ _z_ł_-;\-* #,##0.00\ _z_ł_-;_-* &quot;-&quot;??\ _z_ł_-;_-@_-"/>
    <numFmt numFmtId="166" formatCode="_-* #,##0.0_-;\-* #,##0.0_-;_-* &quot;-&quot;??_-;_-@_-"/>
    <numFmt numFmtId="167" formatCode="_-* #,##0.0\ _z_ł_-;\-* #,##0.0\ _z_ł_-;_-* &quot;-&quot;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24" xfId="0" applyFont="1" applyBorder="1" applyAlignment="1">
      <alignment horizontal="center"/>
    </xf>
    <xf numFmtId="166" fontId="7" fillId="0" borderId="23" xfId="1" applyNumberFormat="1" applyFont="1" applyFill="1" applyBorder="1"/>
    <xf numFmtId="166" fontId="7" fillId="0" borderId="25" xfId="1" applyNumberFormat="1" applyFont="1" applyFill="1" applyBorder="1"/>
    <xf numFmtId="166" fontId="7" fillId="0" borderId="26" xfId="1" applyNumberFormat="1" applyFont="1" applyFill="1" applyBorder="1"/>
    <xf numFmtId="166" fontId="7" fillId="0" borderId="20" xfId="1" applyNumberFormat="1" applyFont="1" applyFill="1" applyBorder="1"/>
    <xf numFmtId="166" fontId="7" fillId="0" borderId="24" xfId="1" applyNumberFormat="1" applyFont="1" applyFill="1" applyBorder="1"/>
    <xf numFmtId="166" fontId="7" fillId="0" borderId="27" xfId="1" applyNumberFormat="1" applyFont="1" applyFill="1" applyBorder="1"/>
    <xf numFmtId="0" fontId="9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166" fontId="2" fillId="0" borderId="6" xfId="1" applyNumberFormat="1" applyFont="1" applyFill="1" applyBorder="1"/>
    <xf numFmtId="166" fontId="2" fillId="0" borderId="0" xfId="1" applyNumberFormat="1" applyFont="1" applyFill="1" applyBorder="1"/>
    <xf numFmtId="166" fontId="2" fillId="0" borderId="10" xfId="1" applyNumberFormat="1" applyFont="1" applyFill="1" applyBorder="1"/>
    <xf numFmtId="166" fontId="7" fillId="0" borderId="10" xfId="1" applyNumberFormat="1" applyFont="1" applyFill="1" applyBorder="1"/>
    <xf numFmtId="166" fontId="2" fillId="0" borderId="20" xfId="1" applyNumberFormat="1" applyFont="1" applyFill="1" applyBorder="1"/>
    <xf numFmtId="166" fontId="2" fillId="0" borderId="28" xfId="1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166" fontId="2" fillId="0" borderId="5" xfId="1" applyNumberFormat="1" applyFont="1" applyBorder="1"/>
    <xf numFmtId="166" fontId="2" fillId="0" borderId="29" xfId="1" applyNumberFormat="1" applyFont="1" applyFill="1" applyBorder="1"/>
    <xf numFmtId="167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166" fontId="2" fillId="0" borderId="30" xfId="1" applyNumberFormat="1" applyFont="1" applyFill="1" applyBorder="1"/>
    <xf numFmtId="0" fontId="7" fillId="0" borderId="5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0" xfId="0" applyFont="1" applyAlignment="1">
      <alignment horizontal="center"/>
    </xf>
    <xf numFmtId="166" fontId="7" fillId="0" borderId="31" xfId="1" applyNumberFormat="1" applyFont="1" applyFill="1" applyBorder="1"/>
    <xf numFmtId="166" fontId="7" fillId="0" borderId="29" xfId="1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0" fontId="2" fillId="0" borderId="21" xfId="0" applyFont="1" applyBorder="1"/>
    <xf numFmtId="0" fontId="2" fillId="0" borderId="33" xfId="0" applyFont="1" applyBorder="1" applyAlignment="1">
      <alignment horizontal="center"/>
    </xf>
    <xf numFmtId="166" fontId="2" fillId="0" borderId="32" xfId="0" applyNumberFormat="1" applyFont="1" applyBorder="1"/>
    <xf numFmtId="166" fontId="2" fillId="0" borderId="21" xfId="1" applyNumberFormat="1" applyFont="1" applyFill="1" applyBorder="1"/>
    <xf numFmtId="166" fontId="2" fillId="0" borderId="33" xfId="1" applyNumberFormat="1" applyFont="1" applyFill="1" applyBorder="1"/>
    <xf numFmtId="166" fontId="2" fillId="0" borderId="22" xfId="1" applyNumberFormat="1" applyFont="1" applyFill="1" applyBorder="1"/>
    <xf numFmtId="0" fontId="2" fillId="0" borderId="0" xfId="0" applyFont="1"/>
    <xf numFmtId="0" fontId="2" fillId="0" borderId="6" xfId="0" applyFont="1" applyBorder="1"/>
    <xf numFmtId="166" fontId="2" fillId="0" borderId="5" xfId="1" applyNumberFormat="1" applyFont="1" applyFill="1" applyBorder="1"/>
    <xf numFmtId="166" fontId="2" fillId="0" borderId="5" xfId="0" applyNumberFormat="1" applyFont="1" applyBorder="1"/>
    <xf numFmtId="165" fontId="3" fillId="0" borderId="0" xfId="0" applyNumberFormat="1" applyFont="1"/>
    <xf numFmtId="0" fontId="2" fillId="0" borderId="12" xfId="0" applyFont="1" applyBorder="1"/>
    <xf numFmtId="0" fontId="2" fillId="0" borderId="13" xfId="0" applyFont="1" applyBorder="1"/>
    <xf numFmtId="166" fontId="2" fillId="0" borderId="13" xfId="1" applyNumberFormat="1" applyFont="1" applyFill="1" applyBorder="1"/>
    <xf numFmtId="166" fontId="2" fillId="0" borderId="12" xfId="1" applyNumberFormat="1" applyFont="1" applyFill="1" applyBorder="1"/>
    <xf numFmtId="166" fontId="2" fillId="0" borderId="34" xfId="1" applyNumberFormat="1" applyFont="1" applyFill="1" applyBorder="1"/>
    <xf numFmtId="166" fontId="7" fillId="0" borderId="35" xfId="1" applyNumberFormat="1" applyFont="1" applyFill="1" applyBorder="1"/>
    <xf numFmtId="43" fontId="2" fillId="0" borderId="5" xfId="0" applyNumberFormat="1" applyFont="1" applyBorder="1"/>
    <xf numFmtId="167" fontId="2" fillId="0" borderId="0" xfId="0" applyNumberFormat="1" applyFont="1"/>
    <xf numFmtId="0" fontId="2" fillId="0" borderId="12" xfId="0" applyFont="1" applyBorder="1"/>
    <xf numFmtId="0" fontId="2" fillId="0" borderId="13" xfId="0" applyFont="1" applyBorder="1"/>
    <xf numFmtId="166" fontId="2" fillId="0" borderId="11" xfId="1" applyNumberFormat="1" applyFont="1" applyBorder="1"/>
    <xf numFmtId="0" fontId="7" fillId="0" borderId="24" xfId="0" applyFont="1" applyBorder="1"/>
    <xf numFmtId="0" fontId="7" fillId="0" borderId="25" xfId="0" applyFont="1" applyBorder="1"/>
    <xf numFmtId="166" fontId="7" fillId="0" borderId="32" xfId="1" applyNumberFormat="1" applyFont="1" applyBorder="1"/>
    <xf numFmtId="166" fontId="7" fillId="0" borderId="17" xfId="1" applyNumberFormat="1" applyFont="1" applyFill="1" applyBorder="1"/>
    <xf numFmtId="167" fontId="9" fillId="0" borderId="0" xfId="0" applyNumberFormat="1" applyFont="1"/>
    <xf numFmtId="166" fontId="7" fillId="0" borderId="23" xfId="1" applyNumberFormat="1" applyFont="1" applyBorder="1"/>
    <xf numFmtId="0" fontId="7" fillId="0" borderId="14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166" fontId="7" fillId="0" borderId="14" xfId="1" applyNumberFormat="1" applyFont="1" applyBorder="1"/>
    <xf numFmtId="166" fontId="7" fillId="0" borderId="9" xfId="1" applyNumberFormat="1" applyFont="1" applyFill="1" applyBorder="1"/>
    <xf numFmtId="166" fontId="7" fillId="0" borderId="36" xfId="1" applyNumberFormat="1" applyFont="1" applyFill="1" applyBorder="1"/>
    <xf numFmtId="166" fontId="7" fillId="0" borderId="7" xfId="1" applyNumberFormat="1" applyFont="1" applyFill="1" applyBorder="1"/>
    <xf numFmtId="166" fontId="7" fillId="0" borderId="37" xfId="1" applyNumberFormat="1" applyFont="1" applyFill="1" applyBorder="1"/>
    <xf numFmtId="166" fontId="7" fillId="0" borderId="38" xfId="1" applyNumberFormat="1" applyFont="1" applyFill="1" applyBorder="1"/>
    <xf numFmtId="166" fontId="7" fillId="0" borderId="8" xfId="1" applyNumberFormat="1" applyFont="1" applyFill="1" applyBorder="1"/>
    <xf numFmtId="0" fontId="10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24BA-EE63-4C7B-A835-9A0DABE6EA9B}">
  <dimension ref="A1:S44"/>
  <sheetViews>
    <sheetView tabSelected="1" workbookViewId="0">
      <selection activeCell="T1" sqref="T1:T1048576"/>
    </sheetView>
  </sheetViews>
  <sheetFormatPr defaultRowHeight="15" x14ac:dyDescent="0.25"/>
  <cols>
    <col min="1" max="1" width="4.140625" style="3" customWidth="1"/>
    <col min="2" max="2" width="5.28515625" style="3" customWidth="1"/>
    <col min="3" max="3" width="37.42578125" style="3" bestFit="1" customWidth="1"/>
    <col min="4" max="4" width="11.140625" style="3" bestFit="1" customWidth="1"/>
    <col min="5" max="5" width="12.7109375" style="3" hidden="1" customWidth="1"/>
    <col min="6" max="7" width="12.7109375" style="3" customWidth="1"/>
    <col min="8" max="8" width="14.5703125" style="3" hidden="1" customWidth="1"/>
    <col min="9" max="9" width="14.5703125" style="3" customWidth="1"/>
    <col min="10" max="10" width="12.85546875" style="3" customWidth="1"/>
    <col min="11" max="11" width="14.7109375" style="3" bestFit="1" customWidth="1"/>
    <col min="12" max="12" width="11.28515625" style="3" bestFit="1" customWidth="1"/>
    <col min="13" max="13" width="8.85546875" style="3" bestFit="1" customWidth="1"/>
    <col min="14" max="14" width="11.28515625" style="3" bestFit="1" customWidth="1"/>
    <col min="15" max="15" width="8.85546875" style="3" bestFit="1" customWidth="1"/>
    <col min="16" max="16" width="9.85546875" style="3" bestFit="1" customWidth="1"/>
    <col min="17" max="17" width="8.85546875" style="3" bestFit="1" customWidth="1"/>
    <col min="18" max="18" width="7.7109375" style="3" bestFit="1" customWidth="1"/>
    <col min="19" max="19" width="12.42578125" style="3" bestFit="1" customWidth="1"/>
    <col min="20" max="16384" width="9.140625" style="3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0</v>
      </c>
      <c r="Q1" s="2"/>
    </row>
    <row r="2" spans="1:19" ht="18.7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 t="s">
        <v>2</v>
      </c>
      <c r="O4" s="5"/>
      <c r="P4" s="2"/>
      <c r="Q4" s="6">
        <v>0.5</v>
      </c>
    </row>
    <row r="5" spans="1:19" ht="15.75" thickBot="1" x14ac:dyDescent="0.3">
      <c r="A5" s="7" t="s">
        <v>3</v>
      </c>
      <c r="B5" s="8" t="s">
        <v>4</v>
      </c>
      <c r="C5" s="9"/>
      <c r="D5" s="10" t="s">
        <v>5</v>
      </c>
      <c r="E5" s="11" t="s">
        <v>6</v>
      </c>
      <c r="F5" s="8"/>
      <c r="G5" s="12"/>
      <c r="H5" s="10" t="s">
        <v>7</v>
      </c>
      <c r="I5" s="10" t="s">
        <v>8</v>
      </c>
      <c r="J5" s="13" t="s">
        <v>9</v>
      </c>
      <c r="K5" s="10" t="s">
        <v>10</v>
      </c>
      <c r="L5" s="8" t="s">
        <v>11</v>
      </c>
      <c r="M5" s="8"/>
      <c r="N5" s="8"/>
      <c r="O5" s="8"/>
      <c r="P5" s="8"/>
      <c r="Q5" s="9"/>
    </row>
    <row r="6" spans="1:19" ht="15.75" thickBot="1" x14ac:dyDescent="0.3">
      <c r="A6" s="14"/>
      <c r="B6" s="15"/>
      <c r="C6" s="16"/>
      <c r="D6" s="14"/>
      <c r="E6" s="17"/>
      <c r="F6" s="18"/>
      <c r="G6" s="19"/>
      <c r="H6" s="14"/>
      <c r="I6" s="14"/>
      <c r="J6" s="20"/>
      <c r="K6" s="14"/>
      <c r="L6" s="8" t="s">
        <v>6</v>
      </c>
      <c r="M6" s="8"/>
      <c r="N6" s="8"/>
      <c r="O6" s="9"/>
      <c r="P6" s="13" t="s">
        <v>8</v>
      </c>
      <c r="Q6" s="9"/>
    </row>
    <row r="7" spans="1:19" ht="15.75" thickBot="1" x14ac:dyDescent="0.3">
      <c r="A7" s="21"/>
      <c r="B7" s="22"/>
      <c r="C7" s="23"/>
      <c r="D7" s="24"/>
      <c r="E7" s="25" t="s">
        <v>12</v>
      </c>
      <c r="F7" s="26" t="s">
        <v>13</v>
      </c>
      <c r="G7" s="26" t="s">
        <v>14</v>
      </c>
      <c r="H7" s="23"/>
      <c r="I7" s="23"/>
      <c r="J7" s="27"/>
      <c r="K7" s="27"/>
      <c r="L7" s="28" t="s">
        <v>13</v>
      </c>
      <c r="M7" s="29"/>
      <c r="N7" s="30" t="s">
        <v>14</v>
      </c>
      <c r="O7" s="29"/>
      <c r="P7" s="22"/>
      <c r="Q7" s="23"/>
    </row>
    <row r="8" spans="1:19" s="39" customFormat="1" x14ac:dyDescent="0.25">
      <c r="A8" s="31">
        <v>1</v>
      </c>
      <c r="B8" s="32">
        <v>2</v>
      </c>
      <c r="C8" s="16"/>
      <c r="D8" s="33">
        <v>3</v>
      </c>
      <c r="E8" s="34">
        <v>4</v>
      </c>
      <c r="F8" s="31">
        <v>4</v>
      </c>
      <c r="G8" s="31">
        <v>5</v>
      </c>
      <c r="H8" s="35">
        <v>6</v>
      </c>
      <c r="I8" s="33">
        <v>6</v>
      </c>
      <c r="J8" s="34">
        <v>7</v>
      </c>
      <c r="K8" s="34">
        <v>8</v>
      </c>
      <c r="L8" s="36">
        <v>9</v>
      </c>
      <c r="M8" s="37">
        <v>10</v>
      </c>
      <c r="N8" s="36">
        <v>11</v>
      </c>
      <c r="O8" s="37">
        <v>12</v>
      </c>
      <c r="P8" s="33">
        <v>13</v>
      </c>
      <c r="Q8" s="38">
        <v>14</v>
      </c>
    </row>
    <row r="9" spans="1:19" s="50" customFormat="1" ht="16.5" x14ac:dyDescent="0.2">
      <c r="A9" s="40" t="s">
        <v>15</v>
      </c>
      <c r="B9" s="41" t="s">
        <v>16</v>
      </c>
      <c r="C9" s="42"/>
      <c r="D9" s="43" t="s">
        <v>17</v>
      </c>
      <c r="E9" s="44">
        <f>E11+E12</f>
        <v>8426.9</v>
      </c>
      <c r="F9" s="44">
        <f>F11+F12</f>
        <v>8815.2000000000007</v>
      </c>
      <c r="G9" s="44">
        <f>G11+G12</f>
        <v>9021.4000000000015</v>
      </c>
      <c r="H9" s="45">
        <f>H11+H12</f>
        <v>16809</v>
      </c>
      <c r="I9" s="45">
        <f>I11+I12</f>
        <v>17946.099999999999</v>
      </c>
      <c r="J9" s="46">
        <f>ROUND(F9/E9*100,1)</f>
        <v>104.6</v>
      </c>
      <c r="K9" s="46">
        <f>ROUND(G9/I9*100,1)</f>
        <v>50.3</v>
      </c>
      <c r="L9" s="47">
        <f>ROUND(F9/$F$9*100,2)</f>
        <v>100</v>
      </c>
      <c r="M9" s="45"/>
      <c r="N9" s="47">
        <f>ROUND(G9/$G$9*100,2)</f>
        <v>100</v>
      </c>
      <c r="O9" s="45"/>
      <c r="P9" s="48">
        <f>ROUND(I9/$I$9*100,2)</f>
        <v>100</v>
      </c>
      <c r="Q9" s="49"/>
    </row>
    <row r="10" spans="1:19" x14ac:dyDescent="0.25">
      <c r="A10" s="51"/>
      <c r="B10" s="1" t="s">
        <v>18</v>
      </c>
      <c r="C10" s="52"/>
      <c r="D10" s="53"/>
      <c r="E10" s="54"/>
      <c r="F10" s="54"/>
      <c r="G10" s="54"/>
      <c r="H10" s="55"/>
      <c r="I10" s="56"/>
      <c r="J10" s="57"/>
      <c r="K10" s="58"/>
      <c r="L10" s="59"/>
      <c r="M10" s="55"/>
      <c r="N10" s="47"/>
      <c r="O10" s="55"/>
      <c r="P10" s="56"/>
      <c r="Q10" s="60"/>
    </row>
    <row r="11" spans="1:19" x14ac:dyDescent="0.25">
      <c r="A11" s="51"/>
      <c r="B11" s="61" t="s">
        <v>19</v>
      </c>
      <c r="C11" s="62"/>
      <c r="D11" s="53"/>
      <c r="E11" s="63">
        <v>3915.4</v>
      </c>
      <c r="F11" s="63">
        <v>4048.4</v>
      </c>
      <c r="G11" s="63">
        <v>4006.3</v>
      </c>
      <c r="H11" s="55">
        <v>7852</v>
      </c>
      <c r="I11" s="56">
        <v>8045</v>
      </c>
      <c r="J11" s="57">
        <f>ROUND(G11/F11*100,1)</f>
        <v>99</v>
      </c>
      <c r="K11" s="57">
        <f>ROUND(G11/I11*100,1)</f>
        <v>49.8</v>
      </c>
      <c r="L11" s="64">
        <f>ROUND(F11/$F$9*100,2)</f>
        <v>45.93</v>
      </c>
      <c r="M11" s="55"/>
      <c r="N11" s="64">
        <f>ROUND(G11/$G$9*100,2)</f>
        <v>44.41</v>
      </c>
      <c r="O11" s="55"/>
      <c r="P11" s="56">
        <f>ROUND(I11/$I$9*100,2)</f>
        <v>44.83</v>
      </c>
      <c r="Q11" s="60"/>
      <c r="S11" s="65"/>
    </row>
    <row r="12" spans="1:19" x14ac:dyDescent="0.25">
      <c r="A12" s="66"/>
      <c r="B12" s="67" t="s">
        <v>20</v>
      </c>
      <c r="C12" s="68"/>
      <c r="D12" s="69"/>
      <c r="E12" s="63">
        <v>4511.5</v>
      </c>
      <c r="F12" s="63">
        <v>4766.8</v>
      </c>
      <c r="G12" s="63">
        <v>5015.1000000000004</v>
      </c>
      <c r="H12" s="55">
        <v>8957</v>
      </c>
      <c r="I12" s="56">
        <v>9901.1</v>
      </c>
      <c r="J12" s="57">
        <f>ROUND(G12/F12*100,1)</f>
        <v>105.2</v>
      </c>
      <c r="K12" s="57">
        <f>ROUND(G12/I12*100,1)</f>
        <v>50.7</v>
      </c>
      <c r="L12" s="70">
        <f>ROUND(F12/$F$9*100,2)</f>
        <v>54.07</v>
      </c>
      <c r="M12" s="55"/>
      <c r="N12" s="70">
        <f>ROUND(G12/$G$9*100,2)</f>
        <v>55.59</v>
      </c>
      <c r="O12" s="55"/>
      <c r="P12" s="56">
        <f>ROUND(I12/$I$9*100,2)</f>
        <v>55.17</v>
      </c>
      <c r="Q12" s="60"/>
    </row>
    <row r="13" spans="1:19" s="50" customFormat="1" ht="14.25" x14ac:dyDescent="0.2">
      <c r="A13" s="71" t="s">
        <v>21</v>
      </c>
      <c r="B13" s="72" t="s">
        <v>22</v>
      </c>
      <c r="C13" s="73"/>
      <c r="D13" s="74" t="s">
        <v>23</v>
      </c>
      <c r="E13" s="44">
        <f>E15+E22+E23</f>
        <v>55659.329999999994</v>
      </c>
      <c r="F13" s="44">
        <f>F15+F22+F23</f>
        <v>61875.420000000006</v>
      </c>
      <c r="G13" s="44">
        <f>G15+G22+G23</f>
        <v>63110.04</v>
      </c>
      <c r="H13" s="45">
        <f>H15+H22+H23</f>
        <v>112190.90000000001</v>
      </c>
      <c r="I13" s="45">
        <f>I15+I22+I23</f>
        <v>131576.4</v>
      </c>
      <c r="J13" s="46">
        <f>ROUND(G13/F13*100,1)</f>
        <v>102</v>
      </c>
      <c r="K13" s="75">
        <f>ROUND(G13/I13*100,1)</f>
        <v>48</v>
      </c>
      <c r="L13" s="76">
        <f>ROUND(F13/$F$13*100,2)</f>
        <v>100</v>
      </c>
      <c r="M13" s="45"/>
      <c r="N13" s="76">
        <f>ROUND(G13/$G$13*100,2)</f>
        <v>100</v>
      </c>
      <c r="O13" s="45"/>
      <c r="P13" s="48">
        <f>ROUND(I13/$I$13*100,2)</f>
        <v>100</v>
      </c>
      <c r="Q13" s="49"/>
    </row>
    <row r="14" spans="1:19" x14ac:dyDescent="0.25">
      <c r="A14" s="77"/>
      <c r="B14" s="78" t="s">
        <v>18</v>
      </c>
      <c r="C14" s="79"/>
      <c r="D14" s="80"/>
      <c r="E14" s="81"/>
      <c r="F14" s="81"/>
      <c r="G14" s="81"/>
      <c r="H14" s="82"/>
      <c r="I14" s="83"/>
      <c r="J14" s="75"/>
      <c r="K14" s="75"/>
      <c r="L14" s="47"/>
      <c r="M14" s="82"/>
      <c r="N14" s="59"/>
      <c r="O14" s="82"/>
      <c r="P14" s="83"/>
      <c r="Q14" s="84"/>
    </row>
    <row r="15" spans="1:19" x14ac:dyDescent="0.25">
      <c r="A15" s="51"/>
      <c r="B15" s="85" t="s">
        <v>24</v>
      </c>
      <c r="C15" s="86"/>
      <c r="D15" s="53"/>
      <c r="E15" s="87">
        <f>E17+E18+E19+E20+E21</f>
        <v>53035.159999999996</v>
      </c>
      <c r="F15" s="87">
        <f>F17+F18+F19+F20+F21</f>
        <v>57119.12</v>
      </c>
      <c r="G15" s="87">
        <f>G17+G18+G19+G20+G21</f>
        <v>59290.54</v>
      </c>
      <c r="H15" s="55">
        <f>H17+H18+H19+H20+H21</f>
        <v>106287.50000000001</v>
      </c>
      <c r="I15" s="55">
        <f>I17+I18+I19+I20+I21</f>
        <v>123674.8</v>
      </c>
      <c r="J15" s="57">
        <f>ROUND(G15/F15*100,1)</f>
        <v>103.8</v>
      </c>
      <c r="K15" s="57">
        <f>ROUND(G15/I15*100,1)</f>
        <v>47.9</v>
      </c>
      <c r="L15" s="64">
        <f>ROUND(F15/$F$13*100,2)</f>
        <v>92.31</v>
      </c>
      <c r="M15" s="55">
        <f>ROUND(F15/$F$15*100,2)</f>
        <v>100</v>
      </c>
      <c r="N15" s="64">
        <f>ROUND(G15/$G$13*100,2)</f>
        <v>93.95</v>
      </c>
      <c r="O15" s="55">
        <f>ROUND(G15/$G$15*100,2)</f>
        <v>100</v>
      </c>
      <c r="P15" s="56">
        <f>ROUND(I15/$I$13*100,2)</f>
        <v>93.99</v>
      </c>
      <c r="Q15" s="60">
        <f>ROUND(I15/$I$15*100,2)</f>
        <v>100</v>
      </c>
    </row>
    <row r="16" spans="1:19" x14ac:dyDescent="0.25">
      <c r="A16" s="51"/>
      <c r="B16" s="85" t="s">
        <v>25</v>
      </c>
      <c r="C16" s="86"/>
      <c r="D16" s="53"/>
      <c r="E16" s="88"/>
      <c r="F16" s="88"/>
      <c r="G16" s="88"/>
      <c r="H16" s="55"/>
      <c r="I16" s="56"/>
      <c r="J16" s="57"/>
      <c r="K16" s="57"/>
      <c r="L16" s="64"/>
      <c r="M16" s="55"/>
      <c r="N16" s="64"/>
      <c r="O16" s="55"/>
      <c r="P16" s="56"/>
      <c r="Q16" s="60"/>
    </row>
    <row r="17" spans="1:19" x14ac:dyDescent="0.25">
      <c r="A17" s="51"/>
      <c r="B17" s="1"/>
      <c r="C17" s="52" t="s">
        <v>26</v>
      </c>
      <c r="D17" s="53"/>
      <c r="E17" s="63">
        <f>ROUND((19706638.08+31702745.72)/1000,2)</f>
        <v>51409.38</v>
      </c>
      <c r="F17" s="63">
        <f>ROUND((20755226.58+34424088.5)/1000,2)</f>
        <v>55179.32</v>
      </c>
      <c r="G17" s="63">
        <f>ROUND((20716662.5+36117305.39)/1000,2)</f>
        <v>56833.97</v>
      </c>
      <c r="H17" s="55">
        <f>39554.4+63057.3</f>
        <v>102611.70000000001</v>
      </c>
      <c r="I17" s="56">
        <v>118848.5</v>
      </c>
      <c r="J17" s="57">
        <f>ROUND(G17/F17*100,1)</f>
        <v>103</v>
      </c>
      <c r="K17" s="57">
        <f>ROUND(G17/I17*100,1)</f>
        <v>47.8</v>
      </c>
      <c r="L17" s="64">
        <f>ROUND(F17/$F$13*100,2)</f>
        <v>89.18</v>
      </c>
      <c r="M17" s="55">
        <f>ROUND(F17/$F$15*100,2)</f>
        <v>96.6</v>
      </c>
      <c r="N17" s="64">
        <f>ROUND(G17/$G$13*100,2)</f>
        <v>90.06</v>
      </c>
      <c r="O17" s="55">
        <f>ROUND(G17/$G$15*100,2)</f>
        <v>95.86</v>
      </c>
      <c r="P17" s="56"/>
      <c r="Q17" s="60">
        <f>ROUND(I17/$I$15*100,2)</f>
        <v>96.1</v>
      </c>
      <c r="R17" s="89"/>
    </row>
    <row r="18" spans="1:19" x14ac:dyDescent="0.25">
      <c r="A18" s="51"/>
      <c r="B18" s="1"/>
      <c r="C18" s="52" t="s">
        <v>27</v>
      </c>
      <c r="D18" s="53"/>
      <c r="E18" s="63">
        <f>ROUND((295654.27+357202.47)/1000,2)</f>
        <v>652.86</v>
      </c>
      <c r="F18" s="63">
        <f>ROUND((438296.95+395440.04)/1000,2)</f>
        <v>833.74</v>
      </c>
      <c r="G18" s="63">
        <f>ROUND((449160.3+469899.79)/1000,2)</f>
        <v>919.06</v>
      </c>
      <c r="H18" s="55">
        <v>1520.8</v>
      </c>
      <c r="I18" s="56">
        <v>1734.8</v>
      </c>
      <c r="J18" s="57">
        <f t="shared" ref="J18:J23" si="0">ROUND(G18/F18*100,1)</f>
        <v>110.2</v>
      </c>
      <c r="K18" s="57">
        <f t="shared" ref="K18:K23" si="1">ROUND(G18/I18*100,1)</f>
        <v>53</v>
      </c>
      <c r="L18" s="64">
        <f t="shared" ref="L18:L23" si="2">ROUND(F18/$F$13*100,2)</f>
        <v>1.35</v>
      </c>
      <c r="M18" s="55">
        <f t="shared" ref="M18:M21" si="3">ROUND(F18/$F$15*100,2)</f>
        <v>1.46</v>
      </c>
      <c r="N18" s="64">
        <f t="shared" ref="N18:N23" si="4">ROUND(G18/$G$13*100,2)</f>
        <v>1.46</v>
      </c>
      <c r="O18" s="55">
        <f t="shared" ref="O18:O21" si="5">ROUND(G18/$G$15*100,2)</f>
        <v>1.55</v>
      </c>
      <c r="P18" s="56"/>
      <c r="Q18" s="60">
        <f t="shared" ref="Q18:Q21" si="6">ROUND(I18/$I$15*100,2)</f>
        <v>1.4</v>
      </c>
      <c r="R18" s="89"/>
    </row>
    <row r="19" spans="1:19" x14ac:dyDescent="0.25">
      <c r="A19" s="51"/>
      <c r="B19" s="1"/>
      <c r="C19" s="52" t="s">
        <v>28</v>
      </c>
      <c r="D19" s="53"/>
      <c r="E19" s="63">
        <f>ROUND(14990.9/1000,2)</f>
        <v>14.99</v>
      </c>
      <c r="F19" s="63">
        <f>ROUND(47477.14/1000,2)</f>
        <v>47.48</v>
      </c>
      <c r="G19" s="63">
        <f>ROUND(16510.25/1000,2)</f>
        <v>16.510000000000002</v>
      </c>
      <c r="H19" s="55">
        <v>50</v>
      </c>
      <c r="I19" s="56">
        <v>50</v>
      </c>
      <c r="J19" s="57">
        <f t="shared" si="0"/>
        <v>34.799999999999997</v>
      </c>
      <c r="K19" s="57">
        <f t="shared" si="1"/>
        <v>33</v>
      </c>
      <c r="L19" s="64">
        <f t="shared" si="2"/>
        <v>0.08</v>
      </c>
      <c r="M19" s="55">
        <f t="shared" si="3"/>
        <v>0.08</v>
      </c>
      <c r="N19" s="64">
        <f t="shared" si="4"/>
        <v>0.03</v>
      </c>
      <c r="O19" s="55">
        <f t="shared" si="5"/>
        <v>0.03</v>
      </c>
      <c r="P19" s="56"/>
      <c r="Q19" s="60">
        <f t="shared" si="6"/>
        <v>0.04</v>
      </c>
      <c r="R19" s="89"/>
    </row>
    <row r="20" spans="1:19" x14ac:dyDescent="0.25">
      <c r="A20" s="51"/>
      <c r="B20" s="1"/>
      <c r="C20" s="52" t="s">
        <v>29</v>
      </c>
      <c r="D20" s="53"/>
      <c r="E20" s="63">
        <f>ROUND(31999.87/1000,1)</f>
        <v>32</v>
      </c>
      <c r="F20" s="63">
        <f>ROUND(43245.16/1000,2)</f>
        <v>43.25</v>
      </c>
      <c r="G20" s="63">
        <f>ROUND(40654.27/1000,2)</f>
        <v>40.65</v>
      </c>
      <c r="H20" s="55">
        <v>74.3</v>
      </c>
      <c r="I20" s="56">
        <v>80.8</v>
      </c>
      <c r="J20" s="57">
        <f t="shared" si="0"/>
        <v>94</v>
      </c>
      <c r="K20" s="57">
        <f>ROUND(G20/I20*100,1)</f>
        <v>50.3</v>
      </c>
      <c r="L20" s="64">
        <f t="shared" si="2"/>
        <v>7.0000000000000007E-2</v>
      </c>
      <c r="M20" s="55">
        <f t="shared" si="3"/>
        <v>0.08</v>
      </c>
      <c r="N20" s="64">
        <f t="shared" si="4"/>
        <v>0.06</v>
      </c>
      <c r="O20" s="55">
        <f t="shared" si="5"/>
        <v>7.0000000000000007E-2</v>
      </c>
      <c r="P20" s="56"/>
      <c r="Q20" s="60">
        <f t="shared" si="6"/>
        <v>7.0000000000000007E-2</v>
      </c>
      <c r="R20" s="89"/>
    </row>
    <row r="21" spans="1:19" x14ac:dyDescent="0.25">
      <c r="A21" s="51"/>
      <c r="B21" s="1"/>
      <c r="C21" s="52" t="s">
        <v>30</v>
      </c>
      <c r="D21" s="53"/>
      <c r="E21" s="63">
        <f>ROUND(925925.94/1000,2)</f>
        <v>925.93</v>
      </c>
      <c r="F21" s="63">
        <f>ROUND(1015334.1/1000,2)</f>
        <v>1015.33</v>
      </c>
      <c r="G21" s="63">
        <f>ROUND(1480351.38/1000,2)</f>
        <v>1480.35</v>
      </c>
      <c r="H21" s="55">
        <v>2030.7</v>
      </c>
      <c r="I21" s="56">
        <v>2960.7</v>
      </c>
      <c r="J21" s="57">
        <f t="shared" si="0"/>
        <v>145.80000000000001</v>
      </c>
      <c r="K21" s="57">
        <f t="shared" si="1"/>
        <v>50</v>
      </c>
      <c r="L21" s="64">
        <f t="shared" si="2"/>
        <v>1.64</v>
      </c>
      <c r="M21" s="55">
        <f t="shared" si="3"/>
        <v>1.78</v>
      </c>
      <c r="N21" s="64">
        <f t="shared" si="4"/>
        <v>2.35</v>
      </c>
      <c r="O21" s="55">
        <f t="shared" si="5"/>
        <v>2.5</v>
      </c>
      <c r="P21" s="56"/>
      <c r="Q21" s="60">
        <f t="shared" si="6"/>
        <v>2.39</v>
      </c>
      <c r="R21" s="89"/>
    </row>
    <row r="22" spans="1:19" x14ac:dyDescent="0.25">
      <c r="A22" s="51"/>
      <c r="B22" s="85" t="s">
        <v>31</v>
      </c>
      <c r="C22" s="86"/>
      <c r="D22" s="53"/>
      <c r="E22" s="63">
        <f>ROUND(2210718.36/1000,2)</f>
        <v>2210.7199999999998</v>
      </c>
      <c r="F22" s="63">
        <f>ROUND(4375844.48/1000,1)</f>
        <v>4375.8</v>
      </c>
      <c r="G22" s="63">
        <f>ROUND(3476044.58/1000,1)+0.1</f>
        <v>3476.1</v>
      </c>
      <c r="H22" s="55">
        <v>5204.2</v>
      </c>
      <c r="I22" s="56">
        <v>7219.9</v>
      </c>
      <c r="J22" s="57">
        <f t="shared" si="0"/>
        <v>79.400000000000006</v>
      </c>
      <c r="K22" s="57">
        <f t="shared" si="1"/>
        <v>48.1</v>
      </c>
      <c r="L22" s="64">
        <f t="shared" si="2"/>
        <v>7.07</v>
      </c>
      <c r="M22" s="55"/>
      <c r="N22" s="64">
        <f>ROUND(G22/$G$13*100,2)</f>
        <v>5.51</v>
      </c>
      <c r="O22" s="55"/>
      <c r="P22" s="56">
        <f>ROUND(I22/$I$13*100,2)</f>
        <v>5.49</v>
      </c>
      <c r="Q22" s="60"/>
    </row>
    <row r="23" spans="1:19" x14ac:dyDescent="0.25">
      <c r="A23" s="66"/>
      <c r="B23" s="90" t="s">
        <v>32</v>
      </c>
      <c r="C23" s="91"/>
      <c r="D23" s="69"/>
      <c r="E23" s="63">
        <f>ROUND(413447.75/1000,2)</f>
        <v>413.45</v>
      </c>
      <c r="F23" s="63">
        <f>ROUND(380526.32/1000,1)</f>
        <v>380.5</v>
      </c>
      <c r="G23" s="63">
        <f>ROUND(343436.97/1000,1)</f>
        <v>343.4</v>
      </c>
      <c r="H23" s="92">
        <v>699.2</v>
      </c>
      <c r="I23" s="56">
        <v>681.7</v>
      </c>
      <c r="J23" s="57">
        <f t="shared" si="0"/>
        <v>90.2</v>
      </c>
      <c r="K23" s="57">
        <f t="shared" si="1"/>
        <v>50.4</v>
      </c>
      <c r="L23" s="64">
        <f t="shared" si="2"/>
        <v>0.61</v>
      </c>
      <c r="M23" s="55"/>
      <c r="N23" s="64">
        <f t="shared" si="4"/>
        <v>0.54</v>
      </c>
      <c r="O23" s="92"/>
      <c r="P23" s="93">
        <f>ROUND(I23/$I$13*100,2)</f>
        <v>0.52</v>
      </c>
      <c r="Q23" s="94"/>
    </row>
    <row r="24" spans="1:19" s="50" customFormat="1" ht="14.25" x14ac:dyDescent="0.2">
      <c r="A24" s="40" t="s">
        <v>33</v>
      </c>
      <c r="B24" s="41" t="s">
        <v>34</v>
      </c>
      <c r="C24" s="42"/>
      <c r="D24" s="43" t="s">
        <v>23</v>
      </c>
      <c r="E24" s="44">
        <f>SUM(E26:E39)</f>
        <v>56108.500000000015</v>
      </c>
      <c r="F24" s="44">
        <f>SUM(F26:F39)</f>
        <v>59155.600000000006</v>
      </c>
      <c r="G24" s="44">
        <f>SUM(G26:G39)</f>
        <v>62873.700000000012</v>
      </c>
      <c r="H24" s="45">
        <f>SUM(H26:H39)</f>
        <v>131187.4</v>
      </c>
      <c r="I24" s="45">
        <f>SUM(I26:I39)</f>
        <v>134973.29999999999</v>
      </c>
      <c r="J24" s="46">
        <f>ROUND(G24/F24*100,1)</f>
        <v>106.3</v>
      </c>
      <c r="K24" s="44">
        <f>ROUND(G24/I24*100,1)</f>
        <v>46.6</v>
      </c>
      <c r="L24" s="95">
        <f>ROUND(F24/$F$24*100,2)</f>
        <v>100</v>
      </c>
      <c r="M24" s="45"/>
      <c r="N24" s="76">
        <f>ROUND(G24/$G$24*100,2)</f>
        <v>100</v>
      </c>
      <c r="O24" s="45"/>
      <c r="P24" s="48">
        <f>ROUND(I24/$I$24*100,2)</f>
        <v>100</v>
      </c>
      <c r="Q24" s="49"/>
    </row>
    <row r="25" spans="1:19" x14ac:dyDescent="0.25">
      <c r="A25" s="51"/>
      <c r="B25" s="85" t="s">
        <v>18</v>
      </c>
      <c r="C25" s="86"/>
      <c r="D25" s="53"/>
      <c r="E25" s="96"/>
      <c r="F25" s="88"/>
      <c r="G25" s="88"/>
      <c r="H25" s="55"/>
      <c r="I25" s="56"/>
      <c r="J25" s="58"/>
      <c r="K25" s="75"/>
      <c r="L25" s="47"/>
      <c r="M25" s="55"/>
      <c r="N25" s="59"/>
      <c r="O25" s="55"/>
      <c r="P25" s="56"/>
      <c r="Q25" s="60"/>
    </row>
    <row r="26" spans="1:19" x14ac:dyDescent="0.25">
      <c r="A26" s="51"/>
      <c r="B26" s="1"/>
      <c r="C26" s="52" t="s">
        <v>35</v>
      </c>
      <c r="D26" s="53"/>
      <c r="E26" s="63">
        <v>11149.1</v>
      </c>
      <c r="F26" s="63">
        <f>11027.2</f>
        <v>11027.2</v>
      </c>
      <c r="G26" s="63">
        <v>11913</v>
      </c>
      <c r="H26" s="55">
        <v>23259.9</v>
      </c>
      <c r="I26" s="56">
        <v>23802.7</v>
      </c>
      <c r="J26" s="57">
        <f>ROUND(G26/F26*100,1)</f>
        <v>108</v>
      </c>
      <c r="K26" s="57">
        <f>ROUND(G26/I26*100,1)</f>
        <v>50</v>
      </c>
      <c r="L26" s="64">
        <f>ROUND(F26/$F$24*100,2)</f>
        <v>18.64</v>
      </c>
      <c r="M26" s="55"/>
      <c r="N26" s="64">
        <f>ROUND(G26/$G$24*100,2)</f>
        <v>18.95</v>
      </c>
      <c r="O26" s="55"/>
      <c r="P26" s="56">
        <f>ROUND(I26/$I$24*100,2)</f>
        <v>17.64</v>
      </c>
      <c r="Q26" s="60"/>
      <c r="S26" s="65"/>
    </row>
    <row r="27" spans="1:19" x14ac:dyDescent="0.25">
      <c r="A27" s="51"/>
      <c r="B27" s="1"/>
      <c r="C27" s="52" t="s">
        <v>36</v>
      </c>
      <c r="D27" s="53"/>
      <c r="E27" s="63">
        <v>2912</v>
      </c>
      <c r="F27" s="63">
        <v>3235.8</v>
      </c>
      <c r="G27" s="63">
        <v>3107.7</v>
      </c>
      <c r="H27" s="55">
        <v>7006.3</v>
      </c>
      <c r="I27" s="56">
        <v>7320.6</v>
      </c>
      <c r="J27" s="57">
        <f t="shared" ref="J27:J39" si="7">ROUND(G27/F27*100,1)</f>
        <v>96</v>
      </c>
      <c r="K27" s="57">
        <f t="shared" ref="K27:K39" si="8">ROUND(G27/I27*100,1)</f>
        <v>42.5</v>
      </c>
      <c r="L27" s="64">
        <f t="shared" ref="L27:L39" si="9">ROUND(F27/$F$24*100,2)</f>
        <v>5.47</v>
      </c>
      <c r="M27" s="55"/>
      <c r="N27" s="64">
        <f t="shared" ref="N27:N39" si="10">ROUND(G27/$G$24*100,2)</f>
        <v>4.9400000000000004</v>
      </c>
      <c r="O27" s="55"/>
      <c r="P27" s="56">
        <f t="shared" ref="P27:P39" si="11">ROUND(I27/$I$24*100,2)</f>
        <v>5.42</v>
      </c>
      <c r="Q27" s="60"/>
      <c r="S27" s="97"/>
    </row>
    <row r="28" spans="1:19" x14ac:dyDescent="0.25">
      <c r="A28" s="51"/>
      <c r="B28" s="1"/>
      <c r="C28" s="52" t="s">
        <v>37</v>
      </c>
      <c r="D28" s="53"/>
      <c r="E28" s="63">
        <v>467.2</v>
      </c>
      <c r="F28" s="63">
        <v>542.70000000000005</v>
      </c>
      <c r="G28" s="63">
        <v>484.8</v>
      </c>
      <c r="H28" s="55">
        <v>1062.9000000000001</v>
      </c>
      <c r="I28" s="56">
        <v>889.8</v>
      </c>
      <c r="J28" s="57">
        <f t="shared" si="7"/>
        <v>89.3</v>
      </c>
      <c r="K28" s="57">
        <f t="shared" si="8"/>
        <v>54.5</v>
      </c>
      <c r="L28" s="64">
        <f t="shared" si="9"/>
        <v>0.92</v>
      </c>
      <c r="M28" s="55"/>
      <c r="N28" s="64">
        <f t="shared" si="10"/>
        <v>0.77</v>
      </c>
      <c r="O28" s="55"/>
      <c r="P28" s="56">
        <f t="shared" si="11"/>
        <v>0.66</v>
      </c>
      <c r="Q28" s="60"/>
      <c r="S28" s="97"/>
    </row>
    <row r="29" spans="1:19" x14ac:dyDescent="0.25">
      <c r="A29" s="51"/>
      <c r="B29" s="1"/>
      <c r="C29" s="52" t="s">
        <v>38</v>
      </c>
      <c r="D29" s="53"/>
      <c r="E29" s="63">
        <v>4393.1000000000004</v>
      </c>
      <c r="F29" s="63">
        <v>6179.1</v>
      </c>
      <c r="G29" s="63">
        <v>5013</v>
      </c>
      <c r="H29" s="55">
        <v>13500</v>
      </c>
      <c r="I29" s="56">
        <v>10596.9</v>
      </c>
      <c r="J29" s="57">
        <f t="shared" si="7"/>
        <v>81.099999999999994</v>
      </c>
      <c r="K29" s="57">
        <f t="shared" si="8"/>
        <v>47.3</v>
      </c>
      <c r="L29" s="64">
        <f t="shared" si="9"/>
        <v>10.45</v>
      </c>
      <c r="M29" s="55"/>
      <c r="N29" s="64">
        <f t="shared" si="10"/>
        <v>7.97</v>
      </c>
      <c r="O29" s="55"/>
      <c r="P29" s="56">
        <f t="shared" si="11"/>
        <v>7.85</v>
      </c>
      <c r="Q29" s="60"/>
      <c r="S29" s="97"/>
    </row>
    <row r="30" spans="1:19" x14ac:dyDescent="0.25">
      <c r="A30" s="51"/>
      <c r="B30" s="1"/>
      <c r="C30" s="52" t="s">
        <v>39</v>
      </c>
      <c r="D30" s="53"/>
      <c r="E30" s="63">
        <v>454.1</v>
      </c>
      <c r="F30" s="63">
        <v>1344.1</v>
      </c>
      <c r="G30" s="63">
        <v>602.1</v>
      </c>
      <c r="H30" s="55">
        <v>2960</v>
      </c>
      <c r="I30" s="56">
        <v>1162.2</v>
      </c>
      <c r="J30" s="57">
        <f t="shared" si="7"/>
        <v>44.8</v>
      </c>
      <c r="K30" s="57">
        <f t="shared" si="8"/>
        <v>51.8</v>
      </c>
      <c r="L30" s="64">
        <f t="shared" si="9"/>
        <v>2.27</v>
      </c>
      <c r="M30" s="55"/>
      <c r="N30" s="64">
        <f t="shared" si="10"/>
        <v>0.96</v>
      </c>
      <c r="O30" s="55"/>
      <c r="P30" s="56">
        <f t="shared" si="11"/>
        <v>0.86</v>
      </c>
      <c r="Q30" s="60"/>
      <c r="S30" s="97"/>
    </row>
    <row r="31" spans="1:19" x14ac:dyDescent="0.25">
      <c r="A31" s="51"/>
      <c r="B31" s="1"/>
      <c r="C31" s="52" t="s">
        <v>40</v>
      </c>
      <c r="D31" s="53"/>
      <c r="E31" s="63">
        <v>10.8</v>
      </c>
      <c r="F31" s="63">
        <v>18.100000000000001</v>
      </c>
      <c r="G31" s="63">
        <v>25.6</v>
      </c>
      <c r="H31" s="55">
        <v>35.4</v>
      </c>
      <c r="I31" s="56">
        <v>48.8</v>
      </c>
      <c r="J31" s="57">
        <f t="shared" si="7"/>
        <v>141.4</v>
      </c>
      <c r="K31" s="57">
        <f t="shared" si="8"/>
        <v>52.5</v>
      </c>
      <c r="L31" s="64">
        <f t="shared" si="9"/>
        <v>0.03</v>
      </c>
      <c r="M31" s="55"/>
      <c r="N31" s="64">
        <f t="shared" si="10"/>
        <v>0.04</v>
      </c>
      <c r="O31" s="55"/>
      <c r="P31" s="56">
        <f t="shared" si="11"/>
        <v>0.04</v>
      </c>
      <c r="Q31" s="60"/>
      <c r="S31" s="97"/>
    </row>
    <row r="32" spans="1:19" x14ac:dyDescent="0.25">
      <c r="A32" s="51"/>
      <c r="B32" s="1"/>
      <c r="C32" s="52" t="s">
        <v>41</v>
      </c>
      <c r="D32" s="53"/>
      <c r="E32" s="63">
        <v>626.9</v>
      </c>
      <c r="F32" s="63">
        <v>221.7</v>
      </c>
      <c r="G32" s="63">
        <v>979.4</v>
      </c>
      <c r="H32" s="55">
        <v>1639</v>
      </c>
      <c r="I32" s="56">
        <v>2824</v>
      </c>
      <c r="J32" s="57">
        <f t="shared" si="7"/>
        <v>441.8</v>
      </c>
      <c r="K32" s="57">
        <f t="shared" si="8"/>
        <v>34.700000000000003</v>
      </c>
      <c r="L32" s="64">
        <f t="shared" si="9"/>
        <v>0.37</v>
      </c>
      <c r="M32" s="55"/>
      <c r="N32" s="64">
        <f t="shared" si="10"/>
        <v>1.56</v>
      </c>
      <c r="O32" s="55"/>
      <c r="P32" s="56">
        <f t="shared" si="11"/>
        <v>2.09</v>
      </c>
      <c r="Q32" s="60"/>
      <c r="S32" s="65"/>
    </row>
    <row r="33" spans="1:19" x14ac:dyDescent="0.25">
      <c r="A33" s="51"/>
      <c r="B33" s="1"/>
      <c r="C33" s="52" t="s">
        <v>42</v>
      </c>
      <c r="D33" s="53"/>
      <c r="E33" s="63">
        <v>6023.1</v>
      </c>
      <c r="F33" s="63">
        <v>4154.8</v>
      </c>
      <c r="G33" s="63">
        <v>4590.2</v>
      </c>
      <c r="H33" s="55">
        <v>12820.1</v>
      </c>
      <c r="I33" s="56">
        <v>12309.4</v>
      </c>
      <c r="J33" s="57">
        <f t="shared" si="7"/>
        <v>110.5</v>
      </c>
      <c r="K33" s="57">
        <f t="shared" si="8"/>
        <v>37.299999999999997</v>
      </c>
      <c r="L33" s="64">
        <f t="shared" si="9"/>
        <v>7.02</v>
      </c>
      <c r="M33" s="55"/>
      <c r="N33" s="64">
        <f t="shared" si="10"/>
        <v>7.3</v>
      </c>
      <c r="O33" s="55"/>
      <c r="P33" s="56">
        <f t="shared" si="11"/>
        <v>9.1199999999999992</v>
      </c>
      <c r="Q33" s="60"/>
      <c r="S33" s="97"/>
    </row>
    <row r="34" spans="1:19" x14ac:dyDescent="0.25">
      <c r="A34" s="51"/>
      <c r="B34" s="1"/>
      <c r="C34" s="52" t="s">
        <v>43</v>
      </c>
      <c r="D34" s="53"/>
      <c r="E34" s="63">
        <f>6697.8+70</f>
        <v>6767.8</v>
      </c>
      <c r="F34" s="63">
        <f>83.3+6913</f>
        <v>6996.3</v>
      </c>
      <c r="G34" s="63">
        <f>6833.2+60.4</f>
        <v>6893.5999999999995</v>
      </c>
      <c r="H34" s="55">
        <f>13699+138.4</f>
        <v>13837.4</v>
      </c>
      <c r="I34" s="56">
        <v>13841.2</v>
      </c>
      <c r="J34" s="57">
        <f t="shared" si="7"/>
        <v>98.5</v>
      </c>
      <c r="K34" s="57">
        <f t="shared" si="8"/>
        <v>49.8</v>
      </c>
      <c r="L34" s="64">
        <f t="shared" si="9"/>
        <v>11.83</v>
      </c>
      <c r="M34" s="55"/>
      <c r="N34" s="64">
        <f t="shared" si="10"/>
        <v>10.96</v>
      </c>
      <c r="O34" s="55"/>
      <c r="P34" s="56">
        <f t="shared" si="11"/>
        <v>10.25</v>
      </c>
      <c r="Q34" s="60"/>
      <c r="S34" s="97"/>
    </row>
    <row r="35" spans="1:19" x14ac:dyDescent="0.25">
      <c r="A35" s="51"/>
      <c r="B35" s="1"/>
      <c r="C35" s="52" t="s">
        <v>44</v>
      </c>
      <c r="D35" s="53"/>
      <c r="E35" s="63">
        <v>17755.3</v>
      </c>
      <c r="F35" s="63">
        <v>19543.099999999999</v>
      </c>
      <c r="G35" s="63">
        <v>22239.7</v>
      </c>
      <c r="H35" s="55">
        <v>43177.9</v>
      </c>
      <c r="I35" s="56">
        <v>48487.7</v>
      </c>
      <c r="J35" s="57">
        <f t="shared" si="7"/>
        <v>113.8</v>
      </c>
      <c r="K35" s="57">
        <f t="shared" si="8"/>
        <v>45.9</v>
      </c>
      <c r="L35" s="64">
        <f t="shared" si="9"/>
        <v>33.04</v>
      </c>
      <c r="M35" s="55"/>
      <c r="N35" s="64">
        <f t="shared" si="10"/>
        <v>35.369999999999997</v>
      </c>
      <c r="O35" s="55"/>
      <c r="P35" s="56">
        <f t="shared" si="11"/>
        <v>35.92</v>
      </c>
      <c r="Q35" s="60"/>
      <c r="S35" s="65"/>
    </row>
    <row r="36" spans="1:19" x14ac:dyDescent="0.25">
      <c r="A36" s="51"/>
      <c r="B36" s="1"/>
      <c r="C36" s="52" t="s">
        <v>45</v>
      </c>
      <c r="D36" s="53"/>
      <c r="E36" s="63">
        <f>2979.7+655.2</f>
        <v>3634.8999999999996</v>
      </c>
      <c r="F36" s="63">
        <f>3223.8+766.2</f>
        <v>3990</v>
      </c>
      <c r="G36" s="63">
        <f>3648.6+910.4</f>
        <v>4559</v>
      </c>
      <c r="H36" s="55">
        <f>7119.8+1562.9</f>
        <v>8682.7000000000007</v>
      </c>
      <c r="I36" s="56">
        <v>9870.6</v>
      </c>
      <c r="J36" s="57">
        <f t="shared" si="7"/>
        <v>114.3</v>
      </c>
      <c r="K36" s="57">
        <f t="shared" si="8"/>
        <v>46.2</v>
      </c>
      <c r="L36" s="64">
        <f t="shared" si="9"/>
        <v>6.74</v>
      </c>
      <c r="M36" s="55"/>
      <c r="N36" s="64">
        <f t="shared" si="10"/>
        <v>7.25</v>
      </c>
      <c r="O36" s="55"/>
      <c r="P36" s="56">
        <f t="shared" si="11"/>
        <v>7.31</v>
      </c>
      <c r="Q36" s="60"/>
      <c r="S36" s="97"/>
    </row>
    <row r="37" spans="1:19" x14ac:dyDescent="0.25">
      <c r="A37" s="51"/>
      <c r="B37" s="1"/>
      <c r="C37" s="52" t="s">
        <v>46</v>
      </c>
      <c r="D37" s="53"/>
      <c r="E37" s="63">
        <v>964.4</v>
      </c>
      <c r="F37" s="63">
        <v>958.6</v>
      </c>
      <c r="G37" s="63">
        <v>1415.4</v>
      </c>
      <c r="H37" s="55">
        <v>980.4</v>
      </c>
      <c r="I37" s="56">
        <v>1415.4</v>
      </c>
      <c r="J37" s="57">
        <f t="shared" si="7"/>
        <v>147.69999999999999</v>
      </c>
      <c r="K37" s="57">
        <f t="shared" si="8"/>
        <v>100</v>
      </c>
      <c r="L37" s="64">
        <f t="shared" si="9"/>
        <v>1.62</v>
      </c>
      <c r="M37" s="55"/>
      <c r="N37" s="64">
        <f t="shared" si="10"/>
        <v>2.25</v>
      </c>
      <c r="O37" s="55"/>
      <c r="P37" s="56">
        <f t="shared" si="11"/>
        <v>1.05</v>
      </c>
      <c r="Q37" s="60"/>
      <c r="S37" s="97"/>
    </row>
    <row r="38" spans="1:19" x14ac:dyDescent="0.25">
      <c r="A38" s="51"/>
      <c r="B38" s="1"/>
      <c r="C38" s="52" t="s">
        <v>47</v>
      </c>
      <c r="D38" s="53"/>
      <c r="E38" s="63">
        <v>665</v>
      </c>
      <c r="F38" s="63">
        <v>629.29999999999995</v>
      </c>
      <c r="G38" s="63">
        <v>735.9</v>
      </c>
      <c r="H38" s="55">
        <v>1583.5</v>
      </c>
      <c r="I38" s="56">
        <v>1748</v>
      </c>
      <c r="J38" s="57">
        <f t="shared" si="7"/>
        <v>116.9</v>
      </c>
      <c r="K38" s="57">
        <f t="shared" si="8"/>
        <v>42.1</v>
      </c>
      <c r="L38" s="64">
        <f t="shared" si="9"/>
        <v>1.06</v>
      </c>
      <c r="M38" s="55"/>
      <c r="N38" s="64">
        <f t="shared" si="10"/>
        <v>1.17</v>
      </c>
      <c r="O38" s="55"/>
      <c r="P38" s="56">
        <f t="shared" si="11"/>
        <v>1.3</v>
      </c>
      <c r="Q38" s="60"/>
      <c r="S38" s="97"/>
    </row>
    <row r="39" spans="1:19" x14ac:dyDescent="0.25">
      <c r="A39" s="66"/>
      <c r="B39" s="98"/>
      <c r="C39" s="99" t="s">
        <v>48</v>
      </c>
      <c r="D39" s="69"/>
      <c r="E39" s="100">
        <f>49.9+221.1+13.8</f>
        <v>284.8</v>
      </c>
      <c r="F39" s="100">
        <f>79.7+12.9+222.2</f>
        <v>314.8</v>
      </c>
      <c r="G39" s="100">
        <f>79.3+235</f>
        <v>314.3</v>
      </c>
      <c r="H39" s="92">
        <f>21.1+620.8</f>
        <v>641.9</v>
      </c>
      <c r="I39" s="56">
        <v>656</v>
      </c>
      <c r="J39" s="57">
        <f t="shared" si="7"/>
        <v>99.8</v>
      </c>
      <c r="K39" s="57">
        <f t="shared" si="8"/>
        <v>47.9</v>
      </c>
      <c r="L39" s="70">
        <f t="shared" si="9"/>
        <v>0.53</v>
      </c>
      <c r="M39" s="92"/>
      <c r="N39" s="70">
        <f t="shared" si="10"/>
        <v>0.5</v>
      </c>
      <c r="O39" s="92"/>
      <c r="P39" s="56">
        <f t="shared" si="11"/>
        <v>0.49</v>
      </c>
      <c r="Q39" s="94"/>
      <c r="S39" s="97"/>
    </row>
    <row r="40" spans="1:19" s="50" customFormat="1" x14ac:dyDescent="0.25">
      <c r="A40" s="40" t="s">
        <v>49</v>
      </c>
      <c r="B40" s="101" t="s">
        <v>50</v>
      </c>
      <c r="C40" s="102"/>
      <c r="D40" s="43" t="s">
        <v>23</v>
      </c>
      <c r="E40" s="103">
        <f>57024.67+1369.09+378.45</f>
        <v>58772.209999999992</v>
      </c>
      <c r="F40" s="103">
        <f>60138.7+2286.2+1903.5</f>
        <v>64328.399999999994</v>
      </c>
      <c r="G40" s="103">
        <f>63664.9+1852.3+568.9</f>
        <v>66086.100000000006</v>
      </c>
      <c r="H40" s="45">
        <f>131121.9+5029.4+1034.4</f>
        <v>137185.69999999998</v>
      </c>
      <c r="I40" s="45">
        <f>134707.8+6831+3655.1</f>
        <v>145193.9</v>
      </c>
      <c r="J40" s="46">
        <f>ROUND(G40/F40*100,1)</f>
        <v>102.7</v>
      </c>
      <c r="K40" s="44">
        <f>ROUND(G40/I40*100,1)</f>
        <v>45.5</v>
      </c>
      <c r="L40" s="104"/>
      <c r="M40" s="45"/>
      <c r="N40" s="93"/>
      <c r="O40" s="45"/>
      <c r="P40" s="48"/>
      <c r="Q40" s="45"/>
      <c r="S40" s="105"/>
    </row>
    <row r="41" spans="1:19" s="50" customFormat="1" ht="14.25" x14ac:dyDescent="0.2">
      <c r="A41" s="40" t="s">
        <v>51</v>
      </c>
      <c r="B41" s="101" t="s">
        <v>52</v>
      </c>
      <c r="C41" s="102"/>
      <c r="D41" s="43" t="s">
        <v>23</v>
      </c>
      <c r="E41" s="44">
        <f>E13-E40</f>
        <v>-3112.8799999999974</v>
      </c>
      <c r="F41" s="44">
        <f>F13-F40</f>
        <v>-2452.9799999999886</v>
      </c>
      <c r="G41" s="44">
        <f>G13-G40</f>
        <v>-2976.0600000000049</v>
      </c>
      <c r="H41" s="45">
        <f>H13-H40</f>
        <v>-24994.799999999974</v>
      </c>
      <c r="I41" s="45">
        <f>I13-I40</f>
        <v>-13617.5</v>
      </c>
      <c r="J41" s="46">
        <f>ROUND(G41/F41*100,1)</f>
        <v>121.3</v>
      </c>
      <c r="K41" s="46">
        <f>ROUND(G41/I41*100,1)</f>
        <v>21.9</v>
      </c>
      <c r="L41" s="46"/>
      <c r="M41" s="45"/>
      <c r="N41" s="48"/>
      <c r="O41" s="45"/>
      <c r="P41" s="48"/>
      <c r="Q41" s="45"/>
    </row>
    <row r="42" spans="1:19" s="50" customFormat="1" ht="14.25" x14ac:dyDescent="0.2">
      <c r="A42" s="40" t="s">
        <v>53</v>
      </c>
      <c r="B42" s="101" t="s">
        <v>54</v>
      </c>
      <c r="C42" s="102"/>
      <c r="D42" s="43" t="s">
        <v>23</v>
      </c>
      <c r="E42" s="106">
        <v>458.94</v>
      </c>
      <c r="F42" s="106">
        <v>255.4</v>
      </c>
      <c r="G42" s="106">
        <v>475.1</v>
      </c>
      <c r="H42" s="45">
        <v>282</v>
      </c>
      <c r="I42" s="45">
        <v>-185.6</v>
      </c>
      <c r="J42" s="46">
        <f>ROUND(G42/F42*100,1)</f>
        <v>186</v>
      </c>
      <c r="K42" s="46">
        <f>ROUND(G42/I42*100,1)</f>
        <v>-256</v>
      </c>
      <c r="L42" s="46"/>
      <c r="M42" s="45"/>
      <c r="N42" s="48"/>
      <c r="O42" s="45"/>
      <c r="P42" s="48"/>
      <c r="Q42" s="45"/>
    </row>
    <row r="43" spans="1:19" s="50" customFormat="1" thickBot="1" x14ac:dyDescent="0.25">
      <c r="A43" s="107" t="s">
        <v>55</v>
      </c>
      <c r="B43" s="108" t="s">
        <v>56</v>
      </c>
      <c r="C43" s="109"/>
      <c r="D43" s="110" t="s">
        <v>23</v>
      </c>
      <c r="E43" s="111">
        <f>E41-E42</f>
        <v>-3571.8199999999974</v>
      </c>
      <c r="F43" s="111">
        <f>F41-F42</f>
        <v>-2708.3799999999887</v>
      </c>
      <c r="G43" s="111">
        <f>G41-G42</f>
        <v>-3451.1600000000049</v>
      </c>
      <c r="H43" s="112">
        <f>H41-H42</f>
        <v>-25276.799999999974</v>
      </c>
      <c r="I43" s="112">
        <f>I41-I42</f>
        <v>-13431.9</v>
      </c>
      <c r="J43" s="113">
        <f>ROUND(G43/F43*100,1)</f>
        <v>127.4</v>
      </c>
      <c r="K43" s="113">
        <f>ROUND(G43/I43*100,1)</f>
        <v>25.7</v>
      </c>
      <c r="L43" s="114"/>
      <c r="M43" s="112"/>
      <c r="N43" s="115"/>
      <c r="O43" s="116"/>
      <c r="P43" s="117"/>
      <c r="Q43" s="112"/>
    </row>
    <row r="44" spans="1:19" x14ac:dyDescent="0.25">
      <c r="A44" s="118" t="s">
        <v>57</v>
      </c>
    </row>
  </sheetData>
  <mergeCells count="24">
    <mergeCell ref="B24:C24"/>
    <mergeCell ref="B25:C25"/>
    <mergeCell ref="B8:C8"/>
    <mergeCell ref="B9:C9"/>
    <mergeCell ref="B15:C15"/>
    <mergeCell ref="B16:C16"/>
    <mergeCell ref="B22:C22"/>
    <mergeCell ref="B23:C23"/>
    <mergeCell ref="K5:K7"/>
    <mergeCell ref="L5:Q5"/>
    <mergeCell ref="L6:O6"/>
    <mergeCell ref="P6:Q7"/>
    <mergeCell ref="L7:M7"/>
    <mergeCell ref="N7:O7"/>
    <mergeCell ref="P1:Q1"/>
    <mergeCell ref="A2:Q2"/>
    <mergeCell ref="N4:P4"/>
    <mergeCell ref="A5:A7"/>
    <mergeCell ref="B5:C7"/>
    <mergeCell ref="D5:D7"/>
    <mergeCell ref="E5:G6"/>
    <mergeCell ref="H5:H7"/>
    <mergeCell ref="I5:I7"/>
    <mergeCell ref="J5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Milewska</dc:creator>
  <cp:lastModifiedBy>Aneta Milewska</cp:lastModifiedBy>
  <dcterms:created xsi:type="dcterms:W3CDTF">2024-10-09T07:38:41Z</dcterms:created>
  <dcterms:modified xsi:type="dcterms:W3CDTF">2024-10-09T07:39:12Z</dcterms:modified>
</cp:coreProperties>
</file>